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950" windowHeight="4965" activeTab="0"/>
  </bookViews>
  <sheets>
    <sheet name="dairy nucleus" sheetId="1" r:id="rId1"/>
    <sheet name="Sheet3" sheetId="2" r:id="rId2"/>
  </sheets>
  <definedNames>
    <definedName name="solver_adj" localSheetId="0" hidden="1">'dairy nucleus'!$E$14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'dairy nucleus'!$I$22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<sst xmlns="http://schemas.openxmlformats.org/spreadsheetml/2006/main" count="75" uniqueCount="73">
  <si>
    <t>selection path</t>
  </si>
  <si>
    <t>SS</t>
  </si>
  <si>
    <t>SD</t>
  </si>
  <si>
    <t>DS</t>
  </si>
  <si>
    <t>DD</t>
  </si>
  <si>
    <t>accuracy</t>
  </si>
  <si>
    <t>gen interval</t>
  </si>
  <si>
    <t>% contrib</t>
  </si>
  <si>
    <t>sum</t>
  </si>
  <si>
    <t>YB</t>
  </si>
  <si>
    <t>selected fraction</t>
  </si>
  <si>
    <t>no needed</t>
  </si>
  <si>
    <t>No available</t>
  </si>
  <si>
    <t>sel intensity</t>
  </si>
  <si>
    <t>dependent variables</t>
  </si>
  <si>
    <t>% used for progeny testing</t>
  </si>
  <si>
    <t>nr proven bulls used for AI</t>
  </si>
  <si>
    <t>progeny group size</t>
  </si>
  <si>
    <t>total nr. used for prog testing</t>
  </si>
  <si>
    <t xml:space="preserve">nr. pregnancies needed per test progeny </t>
  </si>
  <si>
    <t>total nr. Recorded</t>
  </si>
  <si>
    <t>accurcay of prog test</t>
  </si>
  <si>
    <t>heritability</t>
  </si>
  <si>
    <t>alfa</t>
  </si>
  <si>
    <t xml:space="preserve">nr. elite pregnancies needed to obtain a young male </t>
  </si>
  <si>
    <t>Genetic response per year</t>
  </si>
  <si>
    <t>units of genetic SD</t>
  </si>
  <si>
    <t>fraction of breeding females suitable to be elite dams</t>
  </si>
  <si>
    <t>fraction of commercial females suitable to have offspring</t>
  </si>
  <si>
    <t>Set costs</t>
  </si>
  <si>
    <t>Initial cost (e.g. building AI station)</t>
  </si>
  <si>
    <t>cost per performance record</t>
  </si>
  <si>
    <t>cost per young male tested</t>
  </si>
  <si>
    <t>dollarvalue per unit of genetic SD</t>
  </si>
  <si>
    <t>Inbreeding depression (% decrease per 10% inbr.)</t>
  </si>
  <si>
    <t>pheno SD</t>
  </si>
  <si>
    <t>mean</t>
  </si>
  <si>
    <t>eff popsize (app)</t>
  </si>
  <si>
    <t>rate of inbreeding</t>
  </si>
  <si>
    <t>$cost per year</t>
  </si>
  <si>
    <t>percent of mean</t>
  </si>
  <si>
    <t>time  horizon in years</t>
  </si>
  <si>
    <t>discount rate</t>
  </si>
  <si>
    <t>year</t>
  </si>
  <si>
    <t>income</t>
  </si>
  <si>
    <t>cost</t>
  </si>
  <si>
    <t>years in net present value</t>
  </si>
  <si>
    <t xml:space="preserve">Total cost in next  </t>
  </si>
  <si>
    <t xml:space="preserve">Total profit in next  </t>
  </si>
  <si>
    <t>nr of breeding females in nucleus</t>
  </si>
  <si>
    <t>% performance recording in commercial</t>
  </si>
  <si>
    <t>replacement rate in breeding females</t>
  </si>
  <si>
    <t>put 0.01  if 0</t>
  </si>
  <si>
    <t>$Profit per year (long term)</t>
  </si>
  <si>
    <t>Set breeding program variables</t>
  </si>
  <si>
    <t>$response per year</t>
  </si>
  <si>
    <t>net profit in next</t>
  </si>
  <si>
    <t>SelDifferentialsint*accur</t>
  </si>
  <si>
    <t>nr. of commercial breeding females (available for prog testing)</t>
  </si>
  <si>
    <t>reliability of prog test</t>
  </si>
  <si>
    <t>nr young males to be progeny tested</t>
  </si>
  <si>
    <t>nr of elite sires sires of young bulls)</t>
  </si>
  <si>
    <t>generation interval-males</t>
  </si>
  <si>
    <t>generation interval-females</t>
  </si>
  <si>
    <t>generation interval-young bulls</t>
  </si>
  <si>
    <t>Additional Running cost per year</t>
  </si>
  <si>
    <t>To Optimze the system</t>
  </si>
  <si>
    <t>Use Tools &gt; Solver</t>
  </si>
  <si>
    <t xml:space="preserve">(Currently maximizes net profit in next 20 yrs </t>
  </si>
  <si>
    <t>by varying the number of young bulls tested</t>
  </si>
  <si>
    <t>jvanderw@une.edu.au</t>
  </si>
  <si>
    <t>#61- 2 - 6773 2092</t>
  </si>
  <si>
    <t>Julius van der Werf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</si>
</sst>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000"/>
    <numFmt numFmtId="180" formatCode="0.000000000000000"/>
    <numFmt numFmtId="181" formatCode="0.00000000000000"/>
    <numFmt numFmtId="182" formatCode="0.0000000000000"/>
    <numFmt numFmtId="183" formatCode="0.000000000000"/>
    <numFmt numFmtId="184" formatCode="0.00000000000"/>
    <numFmt numFmtId="185" formatCode="0.0000000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4"/>
      <name val="Arial"/>
      <family val="2"/>
    </font>
    <font>
      <sz val="9.5"/>
      <name val="Arial"/>
      <family val="0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1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76" fontId="2" fillId="4" borderId="0" xfId="0" applyNumberFormat="1" applyFont="1" applyFill="1" applyAlignment="1">
      <alignment/>
    </xf>
    <xf numFmtId="1" fontId="3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172" fontId="2" fillId="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" fontId="6" fillId="4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1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1" fontId="4" fillId="4" borderId="0" xfId="0" applyNumberFormat="1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" fontId="0" fillId="7" borderId="0" xfId="0" applyNumberFormat="1" applyFill="1" applyAlignment="1">
      <alignment/>
    </xf>
    <xf numFmtId="0" fontId="0" fillId="8" borderId="0" xfId="0" applyFill="1" applyAlignment="1">
      <alignment/>
    </xf>
    <xf numFmtId="0" fontId="4" fillId="8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5" fillId="8" borderId="3" xfId="19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'dairy nucleus'!$J$24</c:f>
              <c:strCache>
                <c:ptCount val="1"/>
                <c:pt idx="0">
                  <c:v>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'dairy nucleus'!$J$25:$J$64</c:f>
              <c:numCache/>
            </c:numRef>
          </c:val>
          <c:smooth val="0"/>
        </c:ser>
        <c:ser>
          <c:idx val="1"/>
          <c:order val="1"/>
          <c:tx>
            <c:strRef>
              <c:f>'dairy nucleus'!$K$24</c:f>
              <c:strCache>
                <c:ptCount val="1"/>
                <c:pt idx="0">
                  <c:v>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'dairy nucleus'!$K$25:$K$64</c:f>
              <c:numCache/>
            </c:numRef>
          </c:val>
          <c:smooth val="0"/>
        </c:ser>
        <c:axId val="8051326"/>
        <c:axId val="37558375"/>
      </c:lineChart>
      <c:catAx>
        <c:axId val="80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58375"/>
        <c:crosses val="autoZero"/>
        <c:auto val="1"/>
        <c:lblOffset val="100"/>
        <c:noMultiLvlLbl val="0"/>
      </c:catAx>
      <c:valAx>
        <c:axId val="37558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51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32</xdr:row>
      <xdr:rowOff>9525</xdr:rowOff>
    </xdr:from>
    <xdr:to>
      <xdr:col>8</xdr:col>
      <xdr:colOff>647700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81225" y="5514975"/>
        <a:ext cx="52578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714375</xdr:colOff>
      <xdr:row>22</xdr:row>
      <xdr:rowOff>0</xdr:rowOff>
    </xdr:from>
    <xdr:to>
      <xdr:col>8</xdr:col>
      <xdr:colOff>714375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05700" y="3895725"/>
          <a:ext cx="0" cy="476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vanderw@une.edu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11.7109375" style="0" customWidth="1"/>
    <col min="3" max="3" width="14.140625" style="0" customWidth="1"/>
    <col min="4" max="4" width="20.140625" style="0" customWidth="1"/>
    <col min="5" max="5" width="13.57421875" style="0" customWidth="1"/>
    <col min="8" max="8" width="14.8515625" style="0" customWidth="1"/>
    <col min="9" max="9" width="16.57421875" style="0" bestFit="1" customWidth="1"/>
    <col min="14" max="14" width="9.7109375" style="0" bestFit="1" customWidth="1"/>
    <col min="15" max="15" width="9.57421875" style="0" bestFit="1" customWidth="1"/>
  </cols>
  <sheetData>
    <row r="1" spans="1:13" ht="39" customHeight="1">
      <c r="A1" t="s">
        <v>0</v>
      </c>
      <c r="B1" t="s">
        <v>5</v>
      </c>
      <c r="C1" t="s">
        <v>11</v>
      </c>
      <c r="D1" t="s">
        <v>12</v>
      </c>
      <c r="E1" t="s">
        <v>10</v>
      </c>
      <c r="F1" t="s">
        <v>13</v>
      </c>
      <c r="G1" t="s">
        <v>57</v>
      </c>
      <c r="H1" t="s">
        <v>6</v>
      </c>
      <c r="I1" t="s">
        <v>7</v>
      </c>
      <c r="J1" s="33" t="s">
        <v>66</v>
      </c>
      <c r="K1" s="33"/>
      <c r="L1" s="33"/>
      <c r="M1" s="32"/>
    </row>
    <row r="2" spans="1:13" ht="12.75">
      <c r="A2" s="28" t="s">
        <v>1</v>
      </c>
      <c r="B2" s="29">
        <f>MAX(0.5*SQRT(E25),SQRT(H13/(H13+B34)))</f>
        <v>0.9127060409746554</v>
      </c>
      <c r="C2" s="28">
        <f>E16</f>
        <v>5</v>
      </c>
      <c r="D2" s="28">
        <f>E14</f>
        <v>132.2091250254413</v>
      </c>
      <c r="E2" s="29">
        <f>C2/D2</f>
        <v>0.03781887217722558</v>
      </c>
      <c r="F2" s="29">
        <f>MAX(0,(2.97425-(3.35197*E2^0.2)-(1.9319*E2^0.4)+(2.3097*E2^0.6))/(0.51953+(0.88768*E2^0.2)-(2.38388*E2^0.4)+E2^0.6))</f>
        <v>2.1683693625734857</v>
      </c>
      <c r="G2" s="29">
        <f>B2*F2</f>
        <v>1.9790838162851832</v>
      </c>
      <c r="H2" s="29">
        <f>E18</f>
        <v>6.5</v>
      </c>
      <c r="I2" s="30">
        <f>G2/$G7</f>
        <v>0.4875620689226802</v>
      </c>
      <c r="J2" s="33" t="s">
        <v>67</v>
      </c>
      <c r="K2" s="33"/>
      <c r="L2" s="33"/>
      <c r="M2" s="32"/>
    </row>
    <row r="3" spans="1:13" ht="12.75">
      <c r="A3" s="28" t="s">
        <v>2</v>
      </c>
      <c r="B3" s="29">
        <f>MAX(0.5*SQRT(E25),SQRT(H13/(H13+B34)))</f>
        <v>0.9127060409746554</v>
      </c>
      <c r="C3" s="28">
        <f>E15</f>
        <v>50</v>
      </c>
      <c r="D3" s="28">
        <f>E14</f>
        <v>132.2091250254413</v>
      </c>
      <c r="E3" s="29">
        <f>C3/D3</f>
        <v>0.3781887217722558</v>
      </c>
      <c r="F3" s="29">
        <f>MAX(0,(2.97425-(3.35197*E3^0.2)-(1.9319*E3^0.4)+(2.3097*E3^0.6))/(0.51953+(0.88768*E3^0.2)-(2.38388*E3^0.4)+E3^0.6))</f>
        <v>1.0077084620773427</v>
      </c>
      <c r="G3" s="29">
        <f>MAX(0,((100-E13)/100)*B3*F3)</f>
        <v>0.7357932807034161</v>
      </c>
      <c r="H3" s="29">
        <f>E18</f>
        <v>6.5</v>
      </c>
      <c r="I3" s="30">
        <f>G3/G7</f>
        <v>0.18126816625308068</v>
      </c>
      <c r="J3" s="32" t="s">
        <v>68</v>
      </c>
      <c r="K3" s="32"/>
      <c r="L3" s="32"/>
      <c r="M3" s="32"/>
    </row>
    <row r="4" spans="1:13" ht="12.75">
      <c r="A4" s="28" t="s">
        <v>9</v>
      </c>
      <c r="B4" s="28">
        <v>0</v>
      </c>
      <c r="C4" s="28">
        <f>E14</f>
        <v>132.2091250254413</v>
      </c>
      <c r="D4" s="28">
        <f>E14</f>
        <v>132.2091250254413</v>
      </c>
      <c r="E4" s="29">
        <f>C4/D4</f>
        <v>1</v>
      </c>
      <c r="F4" s="29">
        <f>MAX(0,(2.97425-(3.35197*E4^0.2)-(1.9319*E4^0.4)+(2.3097*E4^0.6))/(0.51953+(0.88768*E4^0.2)-(2.38388*E4^0.4)+E4^0.6))</f>
        <v>0.0034290612944740573</v>
      </c>
      <c r="G4" s="29">
        <f>((E13)/100)*B4*F4</f>
        <v>0</v>
      </c>
      <c r="H4" s="29">
        <f>E20</f>
        <v>3.5</v>
      </c>
      <c r="I4" s="30">
        <f>G4/G7</f>
        <v>0</v>
      </c>
      <c r="J4" s="32" t="s">
        <v>69</v>
      </c>
      <c r="K4" s="32"/>
      <c r="L4" s="32"/>
      <c r="M4" s="32"/>
    </row>
    <row r="5" spans="1:12" ht="12.75">
      <c r="A5" s="28" t="s">
        <v>3</v>
      </c>
      <c r="B5" s="28">
        <f>SQRT(E25)</f>
        <v>0.5</v>
      </c>
      <c r="C5" s="28">
        <f>E14*E23</f>
        <v>528.8365001017652</v>
      </c>
      <c r="D5" s="28">
        <f>E21*E11+E10</f>
        <v>77000</v>
      </c>
      <c r="E5" s="30">
        <f>MIN(1,C5/D5)</f>
        <v>0.006868006494828119</v>
      </c>
      <c r="F5" s="29">
        <f>MAX(0,(2.97425-(3.35197*E5^0.2)-(1.9319*E5^0.4)+(2.3097*E5^0.6))/(0.51953+(0.88768*E5^0.2)-(2.38388*E5^0.4)+E5^0.6))</f>
        <v>2.775511787545199</v>
      </c>
      <c r="G5" s="29">
        <f>B5*F5</f>
        <v>1.3877558937725996</v>
      </c>
      <c r="H5" s="29">
        <f>E19</f>
        <v>4.5</v>
      </c>
      <c r="I5" s="30">
        <f>G5/G7</f>
        <v>0.3418840218689921</v>
      </c>
      <c r="J5" s="34" t="s">
        <v>72</v>
      </c>
      <c r="K5" s="35"/>
      <c r="L5" s="40"/>
    </row>
    <row r="6" spans="1:12" ht="12.75">
      <c r="A6" s="28" t="s">
        <v>4</v>
      </c>
      <c r="B6" s="28">
        <f>SQRT(E25)</f>
        <v>0.5</v>
      </c>
      <c r="C6" s="28">
        <f>2*E11*E17</f>
        <v>125000</v>
      </c>
      <c r="D6" s="28">
        <f>E22*E11*E12/100</f>
        <v>140000</v>
      </c>
      <c r="E6" s="29">
        <f>MIN(1,C6/D6)</f>
        <v>0.8928571428571429</v>
      </c>
      <c r="F6" s="29">
        <f>MAX(0,(2.97425-(3.35197*E6^0.2)-(1.9319*E6^0.4)+(2.3097*E6^0.6))/(0.51953+(0.88768*E6^0.2)-(2.38388*E6^0.4)+E6^0.6))</f>
        <v>0.2073359243828215</v>
      </c>
      <c r="G6" s="29">
        <f>B6*F6</f>
        <v>0.10366796219141075</v>
      </c>
      <c r="H6" s="29">
        <f>E19</f>
        <v>4.5</v>
      </c>
      <c r="I6" s="30">
        <f>G6/G7</f>
        <v>0.025539376205863034</v>
      </c>
      <c r="J6" s="36" t="s">
        <v>70</v>
      </c>
      <c r="K6" s="37"/>
      <c r="L6" s="40"/>
    </row>
    <row r="7" spans="1:12" ht="12.75">
      <c r="A7" s="28" t="s">
        <v>8</v>
      </c>
      <c r="B7" s="28"/>
      <c r="C7" s="28"/>
      <c r="D7" s="28"/>
      <c r="E7" s="29"/>
      <c r="F7" s="29"/>
      <c r="G7" s="29">
        <f>G2+(100-E13)/100*G3+E13/100*G4+G5+G6</f>
        <v>4.059142296811927</v>
      </c>
      <c r="H7" s="29">
        <f>H2+(100-E13)/100*H3+E13/100*H4+H5+H6</f>
        <v>21.4</v>
      </c>
      <c r="I7" s="30">
        <f>G7/G7</f>
        <v>1</v>
      </c>
      <c r="J7" s="38" t="s">
        <v>71</v>
      </c>
      <c r="K7" s="39"/>
      <c r="L7" s="40"/>
    </row>
    <row r="9" spans="1:12" ht="12.75">
      <c r="A9" s="22" t="s">
        <v>54</v>
      </c>
      <c r="B9" s="22"/>
      <c r="C9" s="22"/>
      <c r="D9" s="3"/>
      <c r="E9" s="3"/>
      <c r="F9" s="23" t="s">
        <v>14</v>
      </c>
      <c r="G9" s="23"/>
      <c r="H9" s="4"/>
      <c r="I9" s="24" t="s">
        <v>25</v>
      </c>
      <c r="J9" s="24"/>
      <c r="K9" s="5"/>
      <c r="L9" s="5"/>
    </row>
    <row r="10" spans="1:12" ht="12.75">
      <c r="A10" s="6" t="s">
        <v>49</v>
      </c>
      <c r="B10" s="7"/>
      <c r="C10" s="7"/>
      <c r="D10" s="7"/>
      <c r="E10" s="7">
        <v>2000</v>
      </c>
      <c r="F10" s="8"/>
      <c r="G10" s="8"/>
      <c r="H10" s="8"/>
      <c r="I10" s="12">
        <f>($G7/$H7)*SQRT(1-I12)</f>
        <v>0.18727084131488417</v>
      </c>
      <c r="J10" s="5" t="s">
        <v>26</v>
      </c>
      <c r="K10" s="5"/>
      <c r="L10" s="5"/>
    </row>
    <row r="11" spans="1:12" ht="12.75">
      <c r="A11" s="6" t="s">
        <v>58</v>
      </c>
      <c r="B11" s="7"/>
      <c r="C11" s="7"/>
      <c r="D11" s="7"/>
      <c r="E11" s="7">
        <v>250000</v>
      </c>
      <c r="F11" s="9" t="s">
        <v>20</v>
      </c>
      <c r="G11" s="9"/>
      <c r="H11" s="8">
        <f>(E12/100)*E11+E10</f>
        <v>202000</v>
      </c>
      <c r="I11" s="15">
        <f>100*I10*0.1*SQRT(E25)</f>
        <v>0.9363542065744209</v>
      </c>
      <c r="J11" s="5" t="s">
        <v>40</v>
      </c>
      <c r="K11" s="5"/>
      <c r="L11" s="5"/>
    </row>
    <row r="12" spans="1:12" ht="12.75">
      <c r="A12" s="19" t="s">
        <v>50</v>
      </c>
      <c r="B12" s="20"/>
      <c r="C12" s="20"/>
      <c r="D12" s="21" t="s">
        <v>52</v>
      </c>
      <c r="E12" s="20">
        <v>80</v>
      </c>
      <c r="F12" s="9" t="s">
        <v>18</v>
      </c>
      <c r="G12" s="9"/>
      <c r="H12" s="8">
        <f>MAX(0,((E13/100)*E11)-C5)</f>
        <v>49471.16349989823</v>
      </c>
      <c r="I12" s="12">
        <f>1/(2*B37)</f>
        <v>0.02523636795110766</v>
      </c>
      <c r="J12" s="5" t="s">
        <v>38</v>
      </c>
      <c r="K12" s="5"/>
      <c r="L12" s="5"/>
    </row>
    <row r="13" spans="1:8" ht="12.75">
      <c r="A13" s="19" t="s">
        <v>15</v>
      </c>
      <c r="B13" s="20"/>
      <c r="C13" s="20"/>
      <c r="D13" s="21"/>
      <c r="E13" s="20">
        <v>20</v>
      </c>
      <c r="F13" s="9" t="s">
        <v>17</v>
      </c>
      <c r="G13" s="9"/>
      <c r="H13" s="10">
        <f>MAX(0.001,H12/(E14*E24))</f>
        <v>74.83774435445116</v>
      </c>
    </row>
    <row r="14" spans="1:12" ht="12.75">
      <c r="A14" s="19" t="s">
        <v>60</v>
      </c>
      <c r="B14" s="20"/>
      <c r="C14" s="20"/>
      <c r="D14" s="20"/>
      <c r="E14" s="31">
        <v>132.2091250254413</v>
      </c>
      <c r="F14" s="8" t="s">
        <v>21</v>
      </c>
      <c r="G14" s="8"/>
      <c r="H14" s="11">
        <f>SQRT(H13/(H13+B34))</f>
        <v>0.9127060409746554</v>
      </c>
      <c r="I14" s="7">
        <v>100</v>
      </c>
      <c r="J14" s="3" t="s">
        <v>33</v>
      </c>
      <c r="K14" s="3"/>
      <c r="L14" s="3"/>
    </row>
    <row r="15" spans="1:12" ht="12.75">
      <c r="A15" s="19" t="s">
        <v>16</v>
      </c>
      <c r="B15" s="20"/>
      <c r="C15" s="20"/>
      <c r="D15" s="20"/>
      <c r="E15" s="20">
        <v>50</v>
      </c>
      <c r="F15" s="8" t="s">
        <v>59</v>
      </c>
      <c r="G15" s="8"/>
      <c r="H15" s="11">
        <f>H14^2</f>
        <v>0.8330323172316293</v>
      </c>
      <c r="I15" s="13">
        <f>E11*I10*I14</f>
        <v>4681771.032872104</v>
      </c>
      <c r="J15" s="5" t="s">
        <v>55</v>
      </c>
      <c r="K15" s="24"/>
      <c r="L15" s="5"/>
    </row>
    <row r="16" spans="1:12" ht="12.75">
      <c r="A16" s="19" t="s">
        <v>61</v>
      </c>
      <c r="B16" s="20"/>
      <c r="C16" s="20"/>
      <c r="D16" s="20"/>
      <c r="E16" s="20">
        <v>5</v>
      </c>
      <c r="F16" s="8"/>
      <c r="G16" s="8"/>
      <c r="H16" s="8"/>
      <c r="I16" s="14">
        <f>E30</f>
        <v>150000</v>
      </c>
      <c r="J16" s="5" t="s">
        <v>39</v>
      </c>
      <c r="K16" s="5"/>
      <c r="L16" s="5"/>
    </row>
    <row r="17" spans="1:12" ht="12.75">
      <c r="A17" s="6" t="s">
        <v>51</v>
      </c>
      <c r="B17" s="7"/>
      <c r="C17" s="7"/>
      <c r="D17" s="7"/>
      <c r="E17" s="7">
        <v>0.25</v>
      </c>
      <c r="F17" s="8"/>
      <c r="G17" s="8"/>
      <c r="H17" s="8"/>
      <c r="I17" s="18">
        <f>I15-I16</f>
        <v>4531771.032872104</v>
      </c>
      <c r="J17" s="5" t="s">
        <v>53</v>
      </c>
      <c r="K17" s="5"/>
      <c r="L17" s="5"/>
    </row>
    <row r="18" spans="1:11" ht="12.75">
      <c r="A18" s="6" t="s">
        <v>62</v>
      </c>
      <c r="B18" s="7"/>
      <c r="C18" s="7"/>
      <c r="D18" s="7"/>
      <c r="E18" s="7">
        <v>6.5</v>
      </c>
      <c r="F18" s="8"/>
      <c r="G18" s="8"/>
      <c r="H18" s="8"/>
      <c r="I18" s="7">
        <v>20</v>
      </c>
      <c r="J18" s="3" t="s">
        <v>41</v>
      </c>
      <c r="K18" s="3"/>
    </row>
    <row r="19" spans="1:11" ht="12.75">
      <c r="A19" s="6" t="s">
        <v>63</v>
      </c>
      <c r="B19" s="7"/>
      <c r="C19" s="7"/>
      <c r="D19" s="7"/>
      <c r="E19" s="7">
        <v>4.5</v>
      </c>
      <c r="F19" s="8"/>
      <c r="G19" s="8"/>
      <c r="H19" s="8"/>
      <c r="I19" s="7">
        <v>0.1</v>
      </c>
      <c r="J19" s="3" t="s">
        <v>42</v>
      </c>
      <c r="K19" s="3"/>
    </row>
    <row r="20" spans="1:15" ht="12.75">
      <c r="A20" s="6" t="s">
        <v>64</v>
      </c>
      <c r="B20" s="7"/>
      <c r="C20" s="7"/>
      <c r="D20" s="7"/>
      <c r="E20" s="7">
        <v>3.5</v>
      </c>
      <c r="F20" s="8"/>
      <c r="G20" s="8"/>
      <c r="H20" s="8"/>
      <c r="I20" s="27">
        <f>SUM(INDEX(J25:J74,1):INDEX(J25:J74,I18))</f>
        <v>41319454.056050286</v>
      </c>
      <c r="J20" s="5" t="s">
        <v>48</v>
      </c>
      <c r="K20" s="5"/>
      <c r="L20" s="5">
        <f>I18</f>
        <v>20</v>
      </c>
      <c r="M20" s="5" t="s">
        <v>46</v>
      </c>
      <c r="N20" s="5"/>
      <c r="O20" s="5"/>
    </row>
    <row r="21" spans="1:15" ht="12.75">
      <c r="A21" s="6" t="s">
        <v>27</v>
      </c>
      <c r="B21" s="7"/>
      <c r="C21" s="7"/>
      <c r="D21" s="7"/>
      <c r="E21" s="7">
        <v>0.3</v>
      </c>
      <c r="F21" s="8"/>
      <c r="G21" s="8"/>
      <c r="H21" s="8"/>
      <c r="I21" s="27">
        <f>SUM(INDEX(K25:K74,1):INDEX(K25:K74,I18))</f>
        <v>2290670.9216001476</v>
      </c>
      <c r="J21" s="5" t="s">
        <v>47</v>
      </c>
      <c r="K21" s="5"/>
      <c r="L21" s="5">
        <f>I18</f>
        <v>20</v>
      </c>
      <c r="M21" s="5" t="s">
        <v>46</v>
      </c>
      <c r="N21" s="5"/>
      <c r="O21" s="5"/>
    </row>
    <row r="22" spans="1:15" ht="12.75">
      <c r="A22" s="6" t="s">
        <v>28</v>
      </c>
      <c r="B22" s="7"/>
      <c r="C22" s="7"/>
      <c r="D22" s="7"/>
      <c r="E22" s="7">
        <v>0.7</v>
      </c>
      <c r="F22" s="8"/>
      <c r="G22" s="8"/>
      <c r="H22" s="8"/>
      <c r="I22" s="25">
        <f>I20-I21</f>
        <v>39028783.13445014</v>
      </c>
      <c r="J22" s="26" t="s">
        <v>56</v>
      </c>
      <c r="K22" s="5"/>
      <c r="L22" s="24">
        <f>I18</f>
        <v>20</v>
      </c>
      <c r="M22" s="24" t="s">
        <v>46</v>
      </c>
      <c r="N22" s="24"/>
      <c r="O22" s="24"/>
    </row>
    <row r="23" spans="1:8" ht="12" customHeight="1">
      <c r="A23" s="6" t="s">
        <v>24</v>
      </c>
      <c r="B23" s="6"/>
      <c r="C23" s="6"/>
      <c r="D23" s="6"/>
      <c r="E23" s="7">
        <v>4</v>
      </c>
      <c r="F23" s="8"/>
      <c r="G23" s="8"/>
      <c r="H23" s="8"/>
    </row>
    <row r="24" spans="1:11" ht="12.75">
      <c r="A24" s="6" t="s">
        <v>19</v>
      </c>
      <c r="B24" s="6"/>
      <c r="C24" s="6"/>
      <c r="D24" s="6"/>
      <c r="E24" s="7">
        <v>5</v>
      </c>
      <c r="I24" t="s">
        <v>43</v>
      </c>
      <c r="J24" t="s">
        <v>44</v>
      </c>
      <c r="K24" t="s">
        <v>45</v>
      </c>
    </row>
    <row r="25" spans="1:11" ht="12.75">
      <c r="A25" s="6" t="s">
        <v>22</v>
      </c>
      <c r="B25" s="6"/>
      <c r="C25" s="6"/>
      <c r="D25" s="6"/>
      <c r="E25" s="6">
        <v>0.25</v>
      </c>
      <c r="I25">
        <v>1</v>
      </c>
      <c r="J25" s="1">
        <f>MAX(0,I25-($E$18+$E$19))*$I$15/(1+$I$19)^I25</f>
        <v>0</v>
      </c>
      <c r="K25" s="1">
        <f>$E$27+$E$30</f>
        <v>1150000</v>
      </c>
    </row>
    <row r="26" spans="1:11" ht="12.75">
      <c r="A26" s="22" t="s">
        <v>29</v>
      </c>
      <c r="B26" s="3"/>
      <c r="C26" s="3"/>
      <c r="D26" s="3"/>
      <c r="E26" s="3"/>
      <c r="I26">
        <v>2</v>
      </c>
      <c r="J26" s="1">
        <v>0</v>
      </c>
      <c r="K26" s="1">
        <f aca="true" t="shared" si="0" ref="K26:K57">$E$30/(1+$I$19)^I26</f>
        <v>123966.94214876031</v>
      </c>
    </row>
    <row r="27" spans="1:11" ht="12.75">
      <c r="A27" s="6" t="s">
        <v>30</v>
      </c>
      <c r="B27" s="6"/>
      <c r="C27" s="6"/>
      <c r="D27" s="6"/>
      <c r="E27" s="7">
        <v>1000000</v>
      </c>
      <c r="I27">
        <v>3</v>
      </c>
      <c r="J27" s="1">
        <f aca="true" t="shared" si="1" ref="J27:J74">MAX(0,I27-($E$18+$E$19))*$I$15/(1+$I$19)^I27</f>
        <v>0</v>
      </c>
      <c r="K27" s="1">
        <f t="shared" si="0"/>
        <v>112697.22013523662</v>
      </c>
    </row>
    <row r="28" spans="1:11" ht="12.75">
      <c r="A28" s="6" t="s">
        <v>31</v>
      </c>
      <c r="B28" s="6"/>
      <c r="C28" s="6"/>
      <c r="D28" s="6">
        <v>4</v>
      </c>
      <c r="E28" s="7"/>
      <c r="I28">
        <v>4</v>
      </c>
      <c r="J28" s="1">
        <f t="shared" si="1"/>
        <v>0</v>
      </c>
      <c r="K28" s="1">
        <f t="shared" si="0"/>
        <v>102452.01830476058</v>
      </c>
    </row>
    <row r="29" spans="1:11" ht="12.75">
      <c r="A29" s="6" t="s">
        <v>32</v>
      </c>
      <c r="B29" s="6"/>
      <c r="C29" s="6"/>
      <c r="D29" s="6">
        <v>20000</v>
      </c>
      <c r="E29" s="7"/>
      <c r="I29">
        <v>5</v>
      </c>
      <c r="J29" s="1">
        <f t="shared" si="1"/>
        <v>0</v>
      </c>
      <c r="K29" s="1">
        <f t="shared" si="0"/>
        <v>93138.19845887324</v>
      </c>
    </row>
    <row r="30" spans="1:11" ht="12.75">
      <c r="A30" s="6" t="s">
        <v>65</v>
      </c>
      <c r="B30" s="6"/>
      <c r="C30" s="6"/>
      <c r="D30" s="6"/>
      <c r="E30" s="7">
        <v>150000</v>
      </c>
      <c r="I30">
        <v>6</v>
      </c>
      <c r="J30" s="1">
        <f t="shared" si="1"/>
        <v>0</v>
      </c>
      <c r="K30" s="1">
        <f t="shared" si="0"/>
        <v>84671.08950806658</v>
      </c>
    </row>
    <row r="31" spans="1:11" ht="12.75">
      <c r="A31" s="6" t="s">
        <v>34</v>
      </c>
      <c r="B31" s="6"/>
      <c r="C31" s="6"/>
      <c r="D31" s="6"/>
      <c r="E31" s="7">
        <v>5</v>
      </c>
      <c r="I31">
        <v>7</v>
      </c>
      <c r="J31" s="1">
        <f t="shared" si="1"/>
        <v>0</v>
      </c>
      <c r="K31" s="1">
        <f t="shared" si="0"/>
        <v>76973.71773460596</v>
      </c>
    </row>
    <row r="32" spans="1:11" ht="12.75">
      <c r="A32" s="7"/>
      <c r="B32" s="7"/>
      <c r="C32" s="7"/>
      <c r="D32" s="7"/>
      <c r="E32" s="7"/>
      <c r="I32">
        <v>8</v>
      </c>
      <c r="J32" s="1">
        <f t="shared" si="1"/>
        <v>0</v>
      </c>
      <c r="K32" s="1">
        <f t="shared" si="0"/>
        <v>69976.10703145998</v>
      </c>
    </row>
    <row r="33" spans="9:11" ht="12.75">
      <c r="I33">
        <v>9</v>
      </c>
      <c r="J33" s="1">
        <f t="shared" si="1"/>
        <v>0</v>
      </c>
      <c r="K33" s="1">
        <f t="shared" si="0"/>
        <v>63614.6427558727</v>
      </c>
    </row>
    <row r="34" spans="1:11" ht="12.75">
      <c r="A34" t="s">
        <v>23</v>
      </c>
      <c r="B34">
        <f>(4-E25)/E25</f>
        <v>15</v>
      </c>
      <c r="I34">
        <v>10</v>
      </c>
      <c r="J34" s="1">
        <f t="shared" si="1"/>
        <v>0</v>
      </c>
      <c r="K34" s="1">
        <f t="shared" si="0"/>
        <v>57831.49341442972</v>
      </c>
    </row>
    <row r="35" spans="1:11" ht="12.75">
      <c r="A35" t="s">
        <v>35</v>
      </c>
      <c r="B35">
        <f>I14/SQRT(E25)</f>
        <v>200</v>
      </c>
      <c r="I35">
        <v>11</v>
      </c>
      <c r="J35" s="1">
        <f t="shared" si="1"/>
        <v>0</v>
      </c>
      <c r="K35" s="1">
        <f t="shared" si="0"/>
        <v>52574.08492220883</v>
      </c>
    </row>
    <row r="36" spans="1:11" ht="12.75">
      <c r="A36" t="s">
        <v>36</v>
      </c>
      <c r="B36">
        <f>B35/0.1</f>
        <v>2000</v>
      </c>
      <c r="I36">
        <v>12</v>
      </c>
      <c r="J36" s="1">
        <f t="shared" si="1"/>
        <v>1491756.5325366992</v>
      </c>
      <c r="K36" s="1">
        <f t="shared" si="0"/>
        <v>47794.62265655348</v>
      </c>
    </row>
    <row r="37" spans="1:11" ht="12.75">
      <c r="A37" t="s">
        <v>37</v>
      </c>
      <c r="B37" s="2">
        <f>4*C2*C5/(C2+C5)</f>
        <v>19.812676727835324</v>
      </c>
      <c r="I37">
        <v>13</v>
      </c>
      <c r="J37" s="1">
        <f t="shared" si="1"/>
        <v>2712284.60461218</v>
      </c>
      <c r="K37" s="1">
        <f t="shared" si="0"/>
        <v>43449.65696050317</v>
      </c>
    </row>
    <row r="38" spans="9:11" ht="12.75">
      <c r="I38">
        <v>14</v>
      </c>
      <c r="J38" s="1">
        <f t="shared" si="1"/>
        <v>3698569.915380245</v>
      </c>
      <c r="K38" s="1">
        <f t="shared" si="0"/>
        <v>39499.68814591196</v>
      </c>
    </row>
    <row r="39" spans="9:11" ht="12.75">
      <c r="I39">
        <v>15</v>
      </c>
      <c r="J39" s="1">
        <f t="shared" si="1"/>
        <v>4483115.048945751</v>
      </c>
      <c r="K39" s="1">
        <f t="shared" si="0"/>
        <v>35908.80740537451</v>
      </c>
    </row>
    <row r="40" spans="9:11" ht="12.75">
      <c r="I40">
        <v>16</v>
      </c>
      <c r="J40" s="1">
        <f t="shared" si="1"/>
        <v>5094448.919256535</v>
      </c>
      <c r="K40" s="1">
        <f t="shared" si="0"/>
        <v>32644.37036852228</v>
      </c>
    </row>
    <row r="41" spans="9:11" ht="12.75">
      <c r="I41">
        <v>17</v>
      </c>
      <c r="J41" s="1">
        <f t="shared" si="1"/>
        <v>5557580.639188948</v>
      </c>
      <c r="K41" s="1">
        <f t="shared" si="0"/>
        <v>29676.700335020254</v>
      </c>
    </row>
    <row r="42" spans="9:11" ht="12.75">
      <c r="I42">
        <v>18</v>
      </c>
      <c r="J42" s="1">
        <f t="shared" si="1"/>
        <v>5894403.708230702</v>
      </c>
      <c r="K42" s="1">
        <f t="shared" si="0"/>
        <v>26978.818486382046</v>
      </c>
    </row>
    <row r="43" spans="9:11" ht="12.75">
      <c r="I43">
        <v>19</v>
      </c>
      <c r="J43" s="1">
        <f t="shared" si="1"/>
        <v>6124055.800759169</v>
      </c>
      <c r="K43" s="1">
        <f t="shared" si="0"/>
        <v>24526.198623983673</v>
      </c>
    </row>
    <row r="44" spans="9:11" ht="12.75">
      <c r="I44">
        <v>20</v>
      </c>
      <c r="J44" s="1">
        <f t="shared" si="1"/>
        <v>6263238.88714006</v>
      </c>
      <c r="K44" s="1">
        <f t="shared" si="0"/>
        <v>22296.544203621525</v>
      </c>
    </row>
    <row r="45" spans="9:11" ht="12.75">
      <c r="I45">
        <v>21</v>
      </c>
      <c r="J45" s="1">
        <f t="shared" si="1"/>
        <v>6326503.9264041</v>
      </c>
      <c r="K45" s="1">
        <f t="shared" si="0"/>
        <v>20269.58563965593</v>
      </c>
    </row>
    <row r="46" spans="9:11" ht="12.75">
      <c r="I46">
        <v>22</v>
      </c>
      <c r="J46" s="1">
        <f t="shared" si="1"/>
        <v>6326503.926404099</v>
      </c>
      <c r="K46" s="1">
        <f t="shared" si="0"/>
        <v>18426.896036050843</v>
      </c>
    </row>
    <row r="47" spans="9:11" ht="12.75">
      <c r="I47">
        <v>23</v>
      </c>
      <c r="J47" s="1">
        <f t="shared" si="1"/>
        <v>6274218.769987537</v>
      </c>
      <c r="K47" s="1">
        <f t="shared" si="0"/>
        <v>16751.723669137125</v>
      </c>
    </row>
    <row r="48" spans="9:11" ht="12.75">
      <c r="I48">
        <v>24</v>
      </c>
      <c r="J48" s="1">
        <f t="shared" si="1"/>
        <v>6179154.84923015</v>
      </c>
      <c r="K48" s="1">
        <f t="shared" si="0"/>
        <v>15228.839699215572</v>
      </c>
    </row>
    <row r="49" spans="9:11" ht="12.75">
      <c r="I49">
        <v>25</v>
      </c>
      <c r="J49" s="1">
        <f t="shared" si="1"/>
        <v>6049522.23001553</v>
      </c>
      <c r="K49" s="1">
        <f t="shared" si="0"/>
        <v>13844.399726559608</v>
      </c>
    </row>
    <row r="50" spans="9:11" ht="12.75">
      <c r="I50">
        <v>26</v>
      </c>
      <c r="J50" s="1">
        <f t="shared" si="1"/>
        <v>5892391.7824826585</v>
      </c>
      <c r="K50" s="1">
        <f t="shared" si="0"/>
        <v>12585.817933236007</v>
      </c>
    </row>
    <row r="51" spans="9:11" ht="12.75">
      <c r="I51">
        <v>27</v>
      </c>
      <c r="J51" s="1">
        <f t="shared" si="1"/>
        <v>5713834.455740759</v>
      </c>
      <c r="K51" s="1">
        <f t="shared" si="0"/>
        <v>11441.652666578186</v>
      </c>
    </row>
    <row r="52" spans="9:11" ht="12.75">
      <c r="I52">
        <v>28</v>
      </c>
      <c r="J52" s="1">
        <f t="shared" si="1"/>
        <v>5519044.644749598</v>
      </c>
      <c r="K52" s="1">
        <f t="shared" si="0"/>
        <v>10401.502424161987</v>
      </c>
    </row>
    <row r="53" spans="9:11" ht="12.75">
      <c r="I53">
        <v>29</v>
      </c>
      <c r="J53" s="1">
        <f t="shared" si="1"/>
        <v>5312449.390668062</v>
      </c>
      <c r="K53" s="1">
        <f t="shared" si="0"/>
        <v>9455.911294692716</v>
      </c>
    </row>
    <row r="54" spans="9:11" ht="12.75">
      <c r="I54">
        <v>30</v>
      </c>
      <c r="J54" s="1">
        <f t="shared" si="1"/>
        <v>5097804.970843089</v>
      </c>
      <c r="K54" s="1">
        <f t="shared" si="0"/>
        <v>8596.282995175194</v>
      </c>
    </row>
    <row r="55" spans="9:11" ht="12.75">
      <c r="I55">
        <v>31</v>
      </c>
      <c r="J55" s="1">
        <f t="shared" si="1"/>
        <v>4878282.2687493665</v>
      </c>
      <c r="K55" s="1">
        <f t="shared" si="0"/>
        <v>7814.80272288654</v>
      </c>
    </row>
    <row r="56" spans="9:11" ht="12.75">
      <c r="I56">
        <v>32</v>
      </c>
      <c r="J56" s="1">
        <f t="shared" si="1"/>
        <v>4656542.165624395</v>
      </c>
      <c r="K56" s="1">
        <f t="shared" si="0"/>
        <v>7104.366111715037</v>
      </c>
    </row>
    <row r="57" spans="9:11" ht="12.75">
      <c r="I57">
        <v>33</v>
      </c>
      <c r="J57" s="1">
        <f t="shared" si="1"/>
        <v>4434802.0624994235</v>
      </c>
      <c r="K57" s="1">
        <f t="shared" si="0"/>
        <v>6458.514647013669</v>
      </c>
    </row>
    <row r="58" spans="9:11" ht="12.75">
      <c r="I58">
        <v>34</v>
      </c>
      <c r="J58" s="1">
        <f t="shared" si="1"/>
        <v>4214894.522210196</v>
      </c>
      <c r="K58" s="1">
        <f aca="true" t="shared" si="2" ref="K58:K74">$E$30/(1+$I$19)^I58</f>
        <v>5871.376951830608</v>
      </c>
    </row>
    <row r="59" spans="9:11" ht="12.75">
      <c r="I59">
        <v>35</v>
      </c>
      <c r="J59" s="1">
        <f t="shared" si="1"/>
        <v>3998318.9143495923</v>
      </c>
      <c r="K59" s="1">
        <f t="shared" si="2"/>
        <v>5337.615410755097</v>
      </c>
    </row>
    <row r="60" spans="9:11" ht="12.75">
      <c r="I60">
        <v>36</v>
      </c>
      <c r="J60" s="1">
        <f t="shared" si="1"/>
        <v>3786286.850709841</v>
      </c>
      <c r="K60" s="1">
        <f t="shared" si="2"/>
        <v>4852.377646140998</v>
      </c>
    </row>
    <row r="61" spans="9:11" ht="12.75">
      <c r="I61">
        <v>37</v>
      </c>
      <c r="J61" s="1">
        <f t="shared" si="1"/>
        <v>3579762.113398395</v>
      </c>
      <c r="K61" s="1">
        <f t="shared" si="2"/>
        <v>4411.252405582724</v>
      </c>
    </row>
    <row r="62" spans="9:11" ht="12.75">
      <c r="I62">
        <v>38</v>
      </c>
      <c r="J62" s="1">
        <f t="shared" si="1"/>
        <v>3379495.7014600225</v>
      </c>
      <c r="K62" s="1">
        <f t="shared" si="2"/>
        <v>4010.229459620658</v>
      </c>
    </row>
    <row r="63" spans="9:11" ht="12.75">
      <c r="I63">
        <v>39</v>
      </c>
      <c r="J63" s="1">
        <f t="shared" si="1"/>
        <v>3186056.5535650044</v>
      </c>
      <c r="K63" s="1">
        <f t="shared" si="2"/>
        <v>3645.6631451096887</v>
      </c>
    </row>
    <row r="64" spans="9:11" ht="12.75">
      <c r="I64">
        <v>40</v>
      </c>
      <c r="J64" s="1">
        <f t="shared" si="1"/>
        <v>2999858.4432917256</v>
      </c>
      <c r="K64" s="1">
        <f t="shared" si="2"/>
        <v>3314.2392228269905</v>
      </c>
    </row>
    <row r="65" spans="9:11" ht="12.75">
      <c r="I65">
        <v>41</v>
      </c>
      <c r="J65" s="1">
        <f t="shared" si="1"/>
        <v>2821183.4889890826</v>
      </c>
      <c r="K65" s="1">
        <f t="shared" si="2"/>
        <v>3012.9447480245362</v>
      </c>
    </row>
    <row r="66" spans="9:11" ht="12.75">
      <c r="I66">
        <v>42</v>
      </c>
      <c r="J66" s="1">
        <f t="shared" si="1"/>
        <v>2650202.6714745928</v>
      </c>
      <c r="K66" s="1">
        <f t="shared" si="2"/>
        <v>2739.0406800223054</v>
      </c>
    </row>
    <row r="67" spans="9:11" ht="12.75">
      <c r="I67">
        <v>43</v>
      </c>
      <c r="J67" s="1">
        <f t="shared" si="1"/>
        <v>2486993.70930167</v>
      </c>
      <c r="K67" s="1">
        <f t="shared" si="2"/>
        <v>2490.0369818384593</v>
      </c>
    </row>
    <row r="68" spans="9:11" ht="12.75">
      <c r="I68">
        <v>44</v>
      </c>
      <c r="J68" s="1">
        <f t="shared" si="1"/>
        <v>2331556.602470316</v>
      </c>
      <c r="K68" s="1">
        <f t="shared" si="2"/>
        <v>2263.6699834895085</v>
      </c>
    </row>
    <row r="69" spans="9:11" ht="12.75">
      <c r="I69">
        <v>45</v>
      </c>
      <c r="J69" s="1">
        <f t="shared" si="1"/>
        <v>2183827.1207710947</v>
      </c>
      <c r="K69" s="1">
        <f t="shared" si="2"/>
        <v>2057.8818031722803</v>
      </c>
    </row>
    <row r="70" spans="9:11" ht="12.75">
      <c r="I70">
        <v>46</v>
      </c>
      <c r="J70" s="1">
        <f t="shared" si="1"/>
        <v>2043688.4820050348</v>
      </c>
      <c r="K70" s="1">
        <f t="shared" si="2"/>
        <v>1870.8016392475272</v>
      </c>
    </row>
    <row r="71" spans="9:11" ht="12.75">
      <c r="I71">
        <v>47</v>
      </c>
      <c r="J71" s="1">
        <f t="shared" si="1"/>
        <v>1910981.4377189935</v>
      </c>
      <c r="K71" s="1">
        <f t="shared" si="2"/>
        <v>1700.7287629522973</v>
      </c>
    </row>
    <row r="72" spans="9:11" ht="12.75">
      <c r="I72">
        <v>48</v>
      </c>
      <c r="J72" s="1">
        <f t="shared" si="1"/>
        <v>1785512.9594849183</v>
      </c>
      <c r="K72" s="1">
        <f t="shared" si="2"/>
        <v>1546.1170572293613</v>
      </c>
    </row>
    <row r="73" spans="9:11" ht="12.75">
      <c r="I73">
        <v>49</v>
      </c>
      <c r="J73" s="1">
        <f t="shared" si="1"/>
        <v>1667063.6968163855</v>
      </c>
      <c r="K73" s="1">
        <f t="shared" si="2"/>
        <v>1405.560961117601</v>
      </c>
    </row>
    <row r="74" spans="9:11" ht="12.75">
      <c r="I74">
        <v>50</v>
      </c>
      <c r="J74" s="1">
        <f t="shared" si="1"/>
        <v>1555394.3582736608</v>
      </c>
      <c r="K74" s="1">
        <f t="shared" si="2"/>
        <v>1277.7826919250917</v>
      </c>
    </row>
    <row r="77" ht="12.75">
      <c r="M77" s="16"/>
    </row>
  </sheetData>
  <hyperlinks>
    <hyperlink ref="J6" r:id="rId1" display="jvanderw@une.edu.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G9:G9"/>
  <sheetViews>
    <sheetView workbookViewId="0" topLeftCell="A1">
      <selection activeCell="E18" sqref="E18"/>
    </sheetView>
  </sheetViews>
  <sheetFormatPr defaultColWidth="9.140625" defaultRowHeight="12.75"/>
  <sheetData>
    <row r="9" ht="12.75">
      <c r="G9" s="17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Julius Van Der Werf</cp:lastModifiedBy>
  <cp:lastPrinted>1999-05-03T05:59:41Z</cp:lastPrinted>
  <dcterms:created xsi:type="dcterms:W3CDTF">1999-05-03T04:46:48Z</dcterms:created>
  <dcterms:modified xsi:type="dcterms:W3CDTF">2001-11-21T05:38:11Z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